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20730" windowHeight="7965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E47" i="2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G47" s="1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G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E15" l="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C59"/>
  <c r="E58"/>
  <c r="D58"/>
  <c r="E57"/>
  <c r="D57"/>
  <c r="E56"/>
  <c r="D56"/>
  <c r="E55"/>
  <c r="D55"/>
  <c r="C55"/>
  <c r="E54"/>
  <c r="D54"/>
  <c r="C54"/>
  <c r="E53"/>
  <c r="D53"/>
  <c r="E52"/>
  <c r="D52"/>
  <c r="E51"/>
  <c r="D51"/>
  <c r="E50"/>
  <c r="D50"/>
  <c r="E49"/>
  <c r="D49"/>
  <c r="C48"/>
  <c r="D47"/>
  <c r="E46"/>
  <c r="D46"/>
  <c r="E45"/>
  <c r="D45"/>
  <c r="C45"/>
  <c r="E44"/>
  <c r="D44"/>
  <c r="E43"/>
  <c r="D43"/>
  <c r="C43"/>
  <c r="E42"/>
  <c r="D42"/>
  <c r="C42"/>
  <c r="E41"/>
  <c r="D41"/>
  <c r="E40"/>
  <c r="D40"/>
  <c r="C40"/>
  <c r="E39"/>
  <c r="D39"/>
  <c r="C39"/>
  <c r="E38"/>
  <c r="D38"/>
  <c r="E37"/>
  <c r="D37"/>
  <c r="E36"/>
  <c r="D36"/>
  <c r="C36"/>
  <c r="E35"/>
  <c r="D35"/>
  <c r="E34"/>
  <c r="D34"/>
  <c r="E33"/>
  <c r="D33"/>
  <c r="E32"/>
  <c r="D32"/>
  <c r="E31"/>
  <c r="D31"/>
  <c r="C31"/>
  <c r="E30"/>
  <c r="D30"/>
  <c r="E29"/>
  <c r="D29"/>
  <c r="E28"/>
  <c r="D28"/>
  <c r="C28"/>
  <c r="E27"/>
  <c r="D27"/>
  <c r="E26"/>
  <c r="D26"/>
  <c r="E25"/>
  <c r="D25"/>
  <c r="E24"/>
  <c r="D24"/>
  <c r="C24"/>
  <c r="E23"/>
  <c r="D23"/>
  <c r="E22"/>
  <c r="D22"/>
  <c r="C22"/>
  <c r="E21"/>
  <c r="D21"/>
  <c r="E20"/>
  <c r="D20"/>
  <c r="E19"/>
  <c r="D19"/>
  <c r="C19"/>
  <c r="E18"/>
  <c r="D18"/>
  <c r="E17"/>
  <c r="D17"/>
  <c r="C17"/>
  <c r="E16"/>
  <c r="D16"/>
  <c r="D15"/>
  <c r="E14"/>
  <c r="D14"/>
  <c r="E13"/>
  <c r="D13"/>
  <c r="C13"/>
  <c r="E12"/>
  <c r="D12"/>
  <c r="E11"/>
  <c r="D11"/>
  <c r="C11"/>
  <c r="E10"/>
  <c r="D10"/>
  <c r="E9"/>
  <c r="D9"/>
  <c r="E8"/>
  <c r="D8"/>
  <c r="E7"/>
  <c r="D7"/>
  <c r="E6"/>
  <c r="D6"/>
  <c r="C6"/>
  <c r="E5"/>
  <c r="D5"/>
  <c r="E4"/>
  <c r="D4"/>
  <c r="C4"/>
  <c r="E3"/>
  <c r="D3"/>
  <c r="E2"/>
  <c r="D2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</calcChain>
</file>

<file path=xl/sharedStrings.xml><?xml version="1.0" encoding="utf-8"?>
<sst xmlns="http://schemas.openxmlformats.org/spreadsheetml/2006/main" count="11" uniqueCount="10">
  <si>
    <t>aktywnosc</t>
  </si>
  <si>
    <t>suma</t>
  </si>
  <si>
    <t>lp.</t>
  </si>
  <si>
    <t>index</t>
  </si>
  <si>
    <t>kol1(max 50pkt)</t>
  </si>
  <si>
    <t>do dopytania na zajęciach</t>
  </si>
  <si>
    <t>kol2 (max 50 pkt)</t>
  </si>
  <si>
    <t>proc %</t>
  </si>
  <si>
    <t>proponowana ocena</t>
  </si>
  <si>
    <t>Uwagi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</si>
</sst>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0"/>
      <color rgb="FF22222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1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I70" totalsRowShown="0" headerRowDxfId="12" headerRowBorderDxfId="11" tableBorderDxfId="10" totalsRowBorderDxfId="9">
  <autoFilter ref="A1:I70">
    <filterColumn colId="6"/>
    <filterColumn colId="7"/>
    <filterColumn colId="8"/>
  </autoFilter>
  <tableColumns count="9">
    <tableColumn id="1" name="lp." dataDxfId="8"/>
    <tableColumn id="3" name="index" dataDxfId="7"/>
    <tableColumn id="4" name="aktywnosc" dataDxfId="6"/>
    <tableColumn id="5" name="kol1(max 50pkt)" dataDxfId="5"/>
    <tableColumn id="6" name="kol2 (max 50 pkt)" dataDxfId="4"/>
    <tableColumn id="7" name="suma" dataDxfId="3">
      <calculatedColumnFormula>Table2[[#This Row],[aktywnosc]]+Table2[[#This Row],[kol1(max 50pkt)]]+Table2[[#This Row],[kol2 (max 50 pkt)]]</calculatedColumnFormula>
    </tableColumn>
    <tableColumn id="2" name="proc %" dataDxfId="2">
      <calculatedColumnFormula>Table2[[#This Row],[suma]]/100</calculatedColumnFormula>
    </tableColumn>
    <tableColumn id="8" name="proponowana ocena" dataDxfId="1"/>
    <tableColumn id="9" name="Uwagi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20" zoomScale="85" zoomScaleNormal="85" workbookViewId="0">
      <selection activeCell="I47" sqref="I47"/>
    </sheetView>
  </sheetViews>
  <sheetFormatPr defaultRowHeight="15"/>
  <cols>
    <col min="1" max="1" width="5.5703125" bestFit="1" customWidth="1"/>
    <col min="2" max="2" width="8.28515625" bestFit="1" customWidth="1"/>
    <col min="3" max="3" width="12.42578125" customWidth="1"/>
    <col min="4" max="4" width="17.5703125" bestFit="1" customWidth="1"/>
    <col min="8" max="8" width="21.7109375" bestFit="1" customWidth="1"/>
  </cols>
  <sheetData>
    <row r="1" spans="1:9">
      <c r="A1" s="1" t="s">
        <v>2</v>
      </c>
      <c r="B1" s="2" t="s">
        <v>3</v>
      </c>
      <c r="C1" s="2" t="s">
        <v>0</v>
      </c>
      <c r="D1" s="2" t="s">
        <v>4</v>
      </c>
      <c r="E1" s="2" t="s">
        <v>6</v>
      </c>
      <c r="F1" s="3" t="s">
        <v>1</v>
      </c>
      <c r="G1" s="2" t="s">
        <v>7</v>
      </c>
      <c r="H1" s="2" t="s">
        <v>8</v>
      </c>
      <c r="I1" s="2" t="s">
        <v>9</v>
      </c>
    </row>
    <row r="2" spans="1:9">
      <c r="A2" s="4">
        <v>1</v>
      </c>
      <c r="B2" s="4">
        <v>257572</v>
      </c>
      <c r="C2" s="5"/>
      <c r="D2" s="5">
        <f>30+1+6</f>
        <v>37</v>
      </c>
      <c r="E2" s="5">
        <f>25+3</f>
        <v>28</v>
      </c>
      <c r="F2" s="6">
        <f>Table2[[#This Row],[aktywnosc]]+Table2[[#This Row],[kol1(max 50pkt)]]+Table2[[#This Row],[kol2 (max 50 pkt)]]</f>
        <v>65</v>
      </c>
      <c r="G2" s="7">
        <f>Table2[[#This Row],[suma]]/100</f>
        <v>0.65</v>
      </c>
      <c r="H2" s="8">
        <v>3.5</v>
      </c>
      <c r="I2" s="4"/>
    </row>
    <row r="3" spans="1:9">
      <c r="A3" s="4">
        <f>1+A2</f>
        <v>2</v>
      </c>
      <c r="B3" s="4">
        <v>257575</v>
      </c>
      <c r="C3" s="5"/>
      <c r="D3" s="5">
        <f>30+1+6</f>
        <v>37</v>
      </c>
      <c r="E3" s="5">
        <f>20+10</f>
        <v>30</v>
      </c>
      <c r="F3" s="6">
        <f>Table2[[#This Row],[aktywnosc]]+Table2[[#This Row],[kol1(max 50pkt)]]+Table2[[#This Row],[kol2 (max 50 pkt)]]</f>
        <v>67</v>
      </c>
      <c r="G3" s="7">
        <f>Table2[[#This Row],[suma]]/100</f>
        <v>0.67</v>
      </c>
      <c r="H3" s="8">
        <v>4</v>
      </c>
      <c r="I3" s="4"/>
    </row>
    <row r="4" spans="1:9">
      <c r="A4" s="4">
        <f t="shared" ref="A4:A68" si="0">1+A3</f>
        <v>3</v>
      </c>
      <c r="B4" s="4">
        <v>257576</v>
      </c>
      <c r="C4" s="5">
        <f>0.5</f>
        <v>0.5</v>
      </c>
      <c r="D4" s="5">
        <f>30+1+6</f>
        <v>37</v>
      </c>
      <c r="E4" s="5">
        <f>20+3</f>
        <v>23</v>
      </c>
      <c r="F4" s="6">
        <f>Table2[[#This Row],[aktywnosc]]+Table2[[#This Row],[kol1(max 50pkt)]]+Table2[[#This Row],[kol2 (max 50 pkt)]]</f>
        <v>60.5</v>
      </c>
      <c r="G4" s="7">
        <f>Table2[[#This Row],[suma]]/100</f>
        <v>0.60499999999999998</v>
      </c>
      <c r="H4" s="8">
        <v>3.5</v>
      </c>
      <c r="I4" s="4"/>
    </row>
    <row r="5" spans="1:9">
      <c r="A5" s="4">
        <f t="shared" si="0"/>
        <v>4</v>
      </c>
      <c r="B5" s="4">
        <v>257581</v>
      </c>
      <c r="C5" s="5"/>
      <c r="D5" s="5">
        <f>25+1+10</f>
        <v>36</v>
      </c>
      <c r="E5" s="5">
        <f>20+0</f>
        <v>20</v>
      </c>
      <c r="F5" s="6">
        <f>Table2[[#This Row],[aktywnosc]]+Table2[[#This Row],[kol1(max 50pkt)]]+Table2[[#This Row],[kol2 (max 50 pkt)]]</f>
        <v>56</v>
      </c>
      <c r="G5" s="7">
        <f>Table2[[#This Row],[suma]]/100</f>
        <v>0.56000000000000005</v>
      </c>
      <c r="H5" s="8">
        <v>3.5</v>
      </c>
      <c r="I5" s="4"/>
    </row>
    <row r="6" spans="1:9">
      <c r="A6" s="4">
        <f t="shared" si="0"/>
        <v>5</v>
      </c>
      <c r="B6" s="4">
        <v>257590</v>
      </c>
      <c r="C6" s="5">
        <f>1+1+4</f>
        <v>6</v>
      </c>
      <c r="D6" s="5">
        <f>25+1+6</f>
        <v>32</v>
      </c>
      <c r="E6" s="5">
        <f>20+5</f>
        <v>25</v>
      </c>
      <c r="F6" s="6">
        <f>Table2[[#This Row],[aktywnosc]]+Table2[[#This Row],[kol1(max 50pkt)]]+Table2[[#This Row],[kol2 (max 50 pkt)]]</f>
        <v>63</v>
      </c>
      <c r="G6" s="7">
        <f>Table2[[#This Row],[suma]]/100</f>
        <v>0.63</v>
      </c>
      <c r="H6" s="8">
        <v>3.5</v>
      </c>
      <c r="I6" s="4"/>
    </row>
    <row r="7" spans="1:9">
      <c r="A7" s="4">
        <f t="shared" si="0"/>
        <v>6</v>
      </c>
      <c r="B7" s="4">
        <v>257606</v>
      </c>
      <c r="C7" s="5"/>
      <c r="D7" s="5">
        <f>30+0+6</f>
        <v>36</v>
      </c>
      <c r="E7" s="5">
        <f>20+5</f>
        <v>25</v>
      </c>
      <c r="F7" s="6">
        <f>Table2[[#This Row],[aktywnosc]]+Table2[[#This Row],[kol1(max 50pkt)]]+Table2[[#This Row],[kol2 (max 50 pkt)]]</f>
        <v>61</v>
      </c>
      <c r="G7" s="7">
        <f>Table2[[#This Row],[suma]]/100</f>
        <v>0.61</v>
      </c>
      <c r="H7" s="8">
        <v>3.5</v>
      </c>
      <c r="I7" s="4"/>
    </row>
    <row r="8" spans="1:9">
      <c r="A8" s="4">
        <f t="shared" si="0"/>
        <v>7</v>
      </c>
      <c r="B8" s="4">
        <v>248477</v>
      </c>
      <c r="C8" s="5"/>
      <c r="D8" s="5">
        <f>30+1+6</f>
        <v>37</v>
      </c>
      <c r="E8" s="5">
        <f>25+0</f>
        <v>25</v>
      </c>
      <c r="F8" s="6">
        <f>Table2[[#This Row],[aktywnosc]]+Table2[[#This Row],[kol1(max 50pkt)]]+Table2[[#This Row],[kol2 (max 50 pkt)]]</f>
        <v>62</v>
      </c>
      <c r="G8" s="7">
        <f>Table2[[#This Row],[suma]]/100</f>
        <v>0.62</v>
      </c>
      <c r="H8" s="8">
        <v>3.5</v>
      </c>
      <c r="I8" s="4"/>
    </row>
    <row r="9" spans="1:9">
      <c r="A9" s="4">
        <f t="shared" si="0"/>
        <v>8</v>
      </c>
      <c r="B9" s="4">
        <v>257608</v>
      </c>
      <c r="C9" s="5"/>
      <c r="D9" s="5">
        <f>30+0+6</f>
        <v>36</v>
      </c>
      <c r="E9" s="5">
        <f>22+0</f>
        <v>22</v>
      </c>
      <c r="F9" s="6">
        <f>Table2[[#This Row],[aktywnosc]]+Table2[[#This Row],[kol1(max 50pkt)]]+Table2[[#This Row],[kol2 (max 50 pkt)]]</f>
        <v>58</v>
      </c>
      <c r="G9" s="7">
        <f>Table2[[#This Row],[suma]]/100</f>
        <v>0.57999999999999996</v>
      </c>
      <c r="H9" s="8">
        <v>3.5</v>
      </c>
      <c r="I9" s="4"/>
    </row>
    <row r="10" spans="1:9">
      <c r="A10" s="4">
        <f t="shared" si="0"/>
        <v>9</v>
      </c>
      <c r="B10" s="4">
        <v>248481</v>
      </c>
      <c r="C10" s="5"/>
      <c r="D10" s="5">
        <f>30+1+0</f>
        <v>31</v>
      </c>
      <c r="E10" s="5">
        <f>20+0</f>
        <v>20</v>
      </c>
      <c r="F10" s="6">
        <f>Table2[[#This Row],[aktywnosc]]+Table2[[#This Row],[kol1(max 50pkt)]]+Table2[[#This Row],[kol2 (max 50 pkt)]]</f>
        <v>51</v>
      </c>
      <c r="G10" s="7">
        <f>Table2[[#This Row],[suma]]/100</f>
        <v>0.51</v>
      </c>
      <c r="H10" s="8">
        <v>3</v>
      </c>
      <c r="I10" s="4"/>
    </row>
    <row r="11" spans="1:9">
      <c r="A11" s="4">
        <f t="shared" si="0"/>
        <v>10</v>
      </c>
      <c r="B11" s="4">
        <v>257610</v>
      </c>
      <c r="C11" s="5">
        <f>1</f>
        <v>1</v>
      </c>
      <c r="D11" s="5">
        <f>25+0+6</f>
        <v>31</v>
      </c>
      <c r="E11" s="5">
        <f>25+0</f>
        <v>25</v>
      </c>
      <c r="F11" s="6">
        <f>Table2[[#This Row],[aktywnosc]]+Table2[[#This Row],[kol1(max 50pkt)]]+Table2[[#This Row],[kol2 (max 50 pkt)]]</f>
        <v>57</v>
      </c>
      <c r="G11" s="7">
        <f>Table2[[#This Row],[suma]]/100</f>
        <v>0.56999999999999995</v>
      </c>
      <c r="H11" s="8">
        <v>3.5</v>
      </c>
      <c r="I11" s="4"/>
    </row>
    <row r="12" spans="1:9">
      <c r="A12" s="4">
        <f t="shared" si="0"/>
        <v>11</v>
      </c>
      <c r="B12" s="4">
        <v>257615</v>
      </c>
      <c r="C12" s="5"/>
      <c r="D12" s="5">
        <f>30+1+6</f>
        <v>37</v>
      </c>
      <c r="E12" s="5">
        <f>25+15</f>
        <v>40</v>
      </c>
      <c r="F12" s="6">
        <f>Table2[[#This Row],[aktywnosc]]+Table2[[#This Row],[kol1(max 50pkt)]]+Table2[[#This Row],[kol2 (max 50 pkt)]]</f>
        <v>77</v>
      </c>
      <c r="G12" s="7">
        <f>Table2[[#This Row],[suma]]/100</f>
        <v>0.77</v>
      </c>
      <c r="H12" s="8">
        <v>4.5</v>
      </c>
      <c r="I12" s="4"/>
    </row>
    <row r="13" spans="1:9">
      <c r="A13" s="4">
        <f t="shared" si="0"/>
        <v>12</v>
      </c>
      <c r="B13" s="4">
        <v>288179</v>
      </c>
      <c r="C13" s="5">
        <f>1</f>
        <v>1</v>
      </c>
      <c r="D13" s="5">
        <f>30+1+6</f>
        <v>37</v>
      </c>
      <c r="E13" s="5">
        <f>25+25</f>
        <v>50</v>
      </c>
      <c r="F13" s="6">
        <f>Table2[[#This Row],[aktywnosc]]+Table2[[#This Row],[kol1(max 50pkt)]]+Table2[[#This Row],[kol2 (max 50 pkt)]]</f>
        <v>88</v>
      </c>
      <c r="G13" s="7">
        <f>Table2[[#This Row],[suma]]/100</f>
        <v>0.88</v>
      </c>
      <c r="H13" s="8">
        <v>5</v>
      </c>
      <c r="I13" s="4"/>
    </row>
    <row r="14" spans="1:9">
      <c r="A14" s="4">
        <f t="shared" si="0"/>
        <v>13</v>
      </c>
      <c r="B14" s="4">
        <v>257619</v>
      </c>
      <c r="C14" s="5"/>
      <c r="D14" s="5">
        <f>30+0+6</f>
        <v>36</v>
      </c>
      <c r="E14" s="5">
        <f>25+5</f>
        <v>30</v>
      </c>
      <c r="F14" s="6">
        <f>Table2[[#This Row],[aktywnosc]]+Table2[[#This Row],[kol1(max 50pkt)]]+Table2[[#This Row],[kol2 (max 50 pkt)]]</f>
        <v>66</v>
      </c>
      <c r="G14" s="7">
        <f>Table2[[#This Row],[suma]]/100</f>
        <v>0.66</v>
      </c>
      <c r="H14" s="8">
        <v>4</v>
      </c>
      <c r="I14" s="4"/>
    </row>
    <row r="15" spans="1:9">
      <c r="A15" s="4">
        <f t="shared" si="0"/>
        <v>14</v>
      </c>
      <c r="B15" s="4">
        <v>257626</v>
      </c>
      <c r="C15" s="5"/>
      <c r="D15" s="5">
        <f>30+1+6</f>
        <v>37</v>
      </c>
      <c r="E15" s="5">
        <f>20+5</f>
        <v>25</v>
      </c>
      <c r="F15" s="6">
        <f>Table2[[#This Row],[aktywnosc]]+Table2[[#This Row],[kol1(max 50pkt)]]+Table2[[#This Row],[kol2 (max 50 pkt)]]</f>
        <v>62</v>
      </c>
      <c r="G15" s="7">
        <f>Table2[[#This Row],[suma]]/100</f>
        <v>0.62</v>
      </c>
      <c r="H15" s="6">
        <v>3.5</v>
      </c>
      <c r="I15" s="4"/>
    </row>
    <row r="16" spans="1:9">
      <c r="A16" s="4">
        <f t="shared" si="0"/>
        <v>15</v>
      </c>
      <c r="B16" s="4">
        <v>257628</v>
      </c>
      <c r="C16" s="5"/>
      <c r="D16" s="5">
        <f>30+1+6</f>
        <v>37</v>
      </c>
      <c r="E16" s="5">
        <f>25+3</f>
        <v>28</v>
      </c>
      <c r="F16" s="6">
        <f>Table2[[#This Row],[aktywnosc]]+Table2[[#This Row],[kol1(max 50pkt)]]+Table2[[#This Row],[kol2 (max 50 pkt)]]</f>
        <v>65</v>
      </c>
      <c r="G16" s="7">
        <f>Table2[[#This Row],[suma]]/100</f>
        <v>0.65</v>
      </c>
      <c r="H16" s="8">
        <v>3.5</v>
      </c>
      <c r="I16" s="4"/>
    </row>
    <row r="17" spans="1:9">
      <c r="A17" s="4">
        <f t="shared" si="0"/>
        <v>16</v>
      </c>
      <c r="B17" s="4">
        <v>257629</v>
      </c>
      <c r="C17" s="5">
        <f>1</f>
        <v>1</v>
      </c>
      <c r="D17" s="5">
        <f>30+1+2</f>
        <v>33</v>
      </c>
      <c r="E17" s="5">
        <f>25+3</f>
        <v>28</v>
      </c>
      <c r="F17" s="6">
        <f>Table2[[#This Row],[aktywnosc]]+Table2[[#This Row],[kol1(max 50pkt)]]+Table2[[#This Row],[kol2 (max 50 pkt)]]</f>
        <v>62</v>
      </c>
      <c r="G17" s="7">
        <f>Table2[[#This Row],[suma]]/100</f>
        <v>0.62</v>
      </c>
      <c r="H17" s="8">
        <v>3.5</v>
      </c>
      <c r="I17" s="4"/>
    </row>
    <row r="18" spans="1:9">
      <c r="A18" s="4">
        <f t="shared" si="0"/>
        <v>17</v>
      </c>
      <c r="B18" s="4">
        <v>288180</v>
      </c>
      <c r="C18" s="5"/>
      <c r="D18" s="5">
        <f>0+0+6</f>
        <v>6</v>
      </c>
      <c r="E18" s="5">
        <f>10+3</f>
        <v>13</v>
      </c>
      <c r="F18" s="6">
        <f>Table2[[#This Row],[aktywnosc]]+Table2[[#This Row],[kol1(max 50pkt)]]+Table2[[#This Row],[kol2 (max 50 pkt)]]</f>
        <v>19</v>
      </c>
      <c r="G18" s="7">
        <f>Table2[[#This Row],[suma]]/100</f>
        <v>0.19</v>
      </c>
      <c r="H18" s="9">
        <v>2</v>
      </c>
      <c r="I18" s="4"/>
    </row>
    <row r="19" spans="1:9">
      <c r="A19" s="4">
        <f t="shared" si="0"/>
        <v>18</v>
      </c>
      <c r="B19" s="4">
        <v>257633</v>
      </c>
      <c r="C19" s="5">
        <f>1</f>
        <v>1</v>
      </c>
      <c r="D19" s="5">
        <f>30+1+0</f>
        <v>31</v>
      </c>
      <c r="E19" s="5">
        <f>20+3</f>
        <v>23</v>
      </c>
      <c r="F19" s="6">
        <f>Table2[[#This Row],[aktywnosc]]+Table2[[#This Row],[kol1(max 50pkt)]]+Table2[[#This Row],[kol2 (max 50 pkt)]]</f>
        <v>55</v>
      </c>
      <c r="G19" s="7">
        <f>Table2[[#This Row],[suma]]/100</f>
        <v>0.55000000000000004</v>
      </c>
      <c r="H19" s="8">
        <v>3</v>
      </c>
      <c r="I19" s="4"/>
    </row>
    <row r="20" spans="1:9">
      <c r="A20" s="4">
        <f t="shared" si="0"/>
        <v>19</v>
      </c>
      <c r="B20" s="4">
        <v>257634</v>
      </c>
      <c r="C20" s="5"/>
      <c r="D20" s="5">
        <f>30+1+0</f>
        <v>31</v>
      </c>
      <c r="E20" s="5">
        <f>25+25</f>
        <v>50</v>
      </c>
      <c r="F20" s="6">
        <f>Table2[[#This Row],[aktywnosc]]+Table2[[#This Row],[kol1(max 50pkt)]]+Table2[[#This Row],[kol2 (max 50 pkt)]]</f>
        <v>81</v>
      </c>
      <c r="G20" s="7">
        <f>Table2[[#This Row],[suma]]/100</f>
        <v>0.81</v>
      </c>
      <c r="H20" s="8">
        <v>4.5</v>
      </c>
      <c r="I20" s="4"/>
    </row>
    <row r="21" spans="1:9">
      <c r="A21" s="4">
        <f t="shared" si="0"/>
        <v>20</v>
      </c>
      <c r="B21" s="4">
        <v>257635</v>
      </c>
      <c r="C21" s="5"/>
      <c r="D21" s="5">
        <f>20+0+6</f>
        <v>26</v>
      </c>
      <c r="E21" s="5">
        <f>25+0</f>
        <v>25</v>
      </c>
      <c r="F21" s="6">
        <f>Table2[[#This Row],[aktywnosc]]+Table2[[#This Row],[kol1(max 50pkt)]]+Table2[[#This Row],[kol2 (max 50 pkt)]]</f>
        <v>51</v>
      </c>
      <c r="G21" s="7">
        <f>Table2[[#This Row],[suma]]/100</f>
        <v>0.51</v>
      </c>
      <c r="H21" s="8">
        <v>3</v>
      </c>
      <c r="I21" s="4"/>
    </row>
    <row r="22" spans="1:9">
      <c r="A22" s="4">
        <f t="shared" si="0"/>
        <v>21</v>
      </c>
      <c r="B22" s="4">
        <v>288181</v>
      </c>
      <c r="C22" s="5">
        <f>1.5+1+1+1+1</f>
        <v>5.5</v>
      </c>
      <c r="D22" s="5">
        <f>28+1+6</f>
        <v>35</v>
      </c>
      <c r="E22" s="5">
        <f>25+3</f>
        <v>28</v>
      </c>
      <c r="F22" s="6">
        <f>Table2[[#This Row],[aktywnosc]]+Table2[[#This Row],[kol1(max 50pkt)]]+Table2[[#This Row],[kol2 (max 50 pkt)]]</f>
        <v>68.5</v>
      </c>
      <c r="G22" s="7">
        <f>Table2[[#This Row],[suma]]/100</f>
        <v>0.68500000000000005</v>
      </c>
      <c r="H22" s="8">
        <v>4</v>
      </c>
      <c r="I22" s="4"/>
    </row>
    <row r="23" spans="1:9">
      <c r="A23" s="4">
        <f t="shared" si="0"/>
        <v>22</v>
      </c>
      <c r="B23" s="4">
        <v>257642</v>
      </c>
      <c r="C23" s="5"/>
      <c r="D23" s="5">
        <f>30+1+6</f>
        <v>37</v>
      </c>
      <c r="E23" s="5">
        <f>15+4</f>
        <v>19</v>
      </c>
      <c r="F23" s="6">
        <f>Table2[[#This Row],[aktywnosc]]+Table2[[#This Row],[kol1(max 50pkt)]]+Table2[[#This Row],[kol2 (max 50 pkt)]]</f>
        <v>56</v>
      </c>
      <c r="G23" s="7">
        <f>Table2[[#This Row],[suma]]/100</f>
        <v>0.56000000000000005</v>
      </c>
      <c r="H23" s="8">
        <v>3.5</v>
      </c>
      <c r="I23" s="4"/>
    </row>
    <row r="24" spans="1:9">
      <c r="A24" s="4">
        <f t="shared" si="0"/>
        <v>23</v>
      </c>
      <c r="B24" s="4">
        <v>257643</v>
      </c>
      <c r="C24" s="5">
        <f>1</f>
        <v>1</v>
      </c>
      <c r="D24" s="5">
        <f>30+1+6</f>
        <v>37</v>
      </c>
      <c r="E24" s="5">
        <f>20+5</f>
        <v>25</v>
      </c>
      <c r="F24" s="6">
        <f>Table2[[#This Row],[aktywnosc]]+Table2[[#This Row],[kol1(max 50pkt)]]+Table2[[#This Row],[kol2 (max 50 pkt)]]</f>
        <v>63</v>
      </c>
      <c r="G24" s="7">
        <f>Table2[[#This Row],[suma]]/100</f>
        <v>0.63</v>
      </c>
      <c r="H24" s="8">
        <v>3.5</v>
      </c>
      <c r="I24" s="4"/>
    </row>
    <row r="25" spans="1:9">
      <c r="A25" s="4">
        <f t="shared" si="0"/>
        <v>24</v>
      </c>
      <c r="B25" s="4">
        <v>288182</v>
      </c>
      <c r="C25" s="5"/>
      <c r="D25" s="5">
        <f>30+0+6</f>
        <v>36</v>
      </c>
      <c r="E25" s="5">
        <f>20+0</f>
        <v>20</v>
      </c>
      <c r="F25" s="6">
        <f>Table2[[#This Row],[aktywnosc]]+Table2[[#This Row],[kol1(max 50pkt)]]+Table2[[#This Row],[kol2 (max 50 pkt)]]</f>
        <v>56</v>
      </c>
      <c r="G25" s="7">
        <f>Table2[[#This Row],[suma]]/100</f>
        <v>0.56000000000000005</v>
      </c>
      <c r="H25" s="8">
        <v>3.5</v>
      </c>
      <c r="I25" s="4"/>
    </row>
    <row r="26" spans="1:9">
      <c r="A26" s="4">
        <f t="shared" si="0"/>
        <v>25</v>
      </c>
      <c r="B26" s="4">
        <v>257648</v>
      </c>
      <c r="C26" s="5"/>
      <c r="D26" s="5">
        <f>30+1+6</f>
        <v>37</v>
      </c>
      <c r="E26" s="5">
        <f>20+0</f>
        <v>20</v>
      </c>
      <c r="F26" s="6">
        <f>Table2[[#This Row],[aktywnosc]]+Table2[[#This Row],[kol1(max 50pkt)]]+Table2[[#This Row],[kol2 (max 50 pkt)]]</f>
        <v>57</v>
      </c>
      <c r="G26" s="7">
        <f>Table2[[#This Row],[suma]]/100</f>
        <v>0.56999999999999995</v>
      </c>
      <c r="H26" s="8">
        <v>3.5</v>
      </c>
      <c r="I26" s="4"/>
    </row>
    <row r="27" spans="1:9">
      <c r="A27" s="4">
        <f t="shared" si="0"/>
        <v>26</v>
      </c>
      <c r="B27" s="4">
        <v>257650</v>
      </c>
      <c r="C27" s="5">
        <v>5</v>
      </c>
      <c r="D27" s="5">
        <f>22+1+6</f>
        <v>29</v>
      </c>
      <c r="E27" s="5">
        <f>25+5</f>
        <v>30</v>
      </c>
      <c r="F27" s="6">
        <f>Table2[[#This Row],[aktywnosc]]+Table2[[#This Row],[kol1(max 50pkt)]]+Table2[[#This Row],[kol2 (max 50 pkt)]]</f>
        <v>64</v>
      </c>
      <c r="G27" s="7">
        <f>Table2[[#This Row],[suma]]/100</f>
        <v>0.64</v>
      </c>
      <c r="H27" s="8">
        <v>3.5</v>
      </c>
      <c r="I27" s="4"/>
    </row>
    <row r="28" spans="1:9">
      <c r="A28" s="4">
        <f t="shared" si="0"/>
        <v>27</v>
      </c>
      <c r="B28" s="4">
        <v>257651</v>
      </c>
      <c r="C28" s="5">
        <f>1+1</f>
        <v>2</v>
      </c>
      <c r="D28" s="5">
        <f>30+1+6</f>
        <v>37</v>
      </c>
      <c r="E28" s="5">
        <f>20+3</f>
        <v>23</v>
      </c>
      <c r="F28" s="6">
        <f>Table2[[#This Row],[aktywnosc]]+Table2[[#This Row],[kol1(max 50pkt)]]+Table2[[#This Row],[kol2 (max 50 pkt)]]</f>
        <v>62</v>
      </c>
      <c r="G28" s="7">
        <f>Table2[[#This Row],[suma]]/100</f>
        <v>0.62</v>
      </c>
      <c r="H28" s="8">
        <v>3.5</v>
      </c>
      <c r="I28" s="4"/>
    </row>
    <row r="29" spans="1:9">
      <c r="A29" s="4">
        <f t="shared" si="0"/>
        <v>28</v>
      </c>
      <c r="B29" s="4">
        <v>257654</v>
      </c>
      <c r="C29" s="5"/>
      <c r="D29" s="5">
        <f>23+1+6</f>
        <v>30</v>
      </c>
      <c r="E29" s="5">
        <f>25+3</f>
        <v>28</v>
      </c>
      <c r="F29" s="6">
        <f>Table2[[#This Row],[aktywnosc]]+Table2[[#This Row],[kol1(max 50pkt)]]+Table2[[#This Row],[kol2 (max 50 pkt)]]</f>
        <v>58</v>
      </c>
      <c r="G29" s="7">
        <f>Table2[[#This Row],[suma]]/100</f>
        <v>0.57999999999999996</v>
      </c>
      <c r="H29" s="8">
        <v>3.5</v>
      </c>
      <c r="I29" s="4"/>
    </row>
    <row r="30" spans="1:9">
      <c r="A30" s="4">
        <f t="shared" si="0"/>
        <v>29</v>
      </c>
      <c r="B30" s="4">
        <v>257658</v>
      </c>
      <c r="C30" s="5"/>
      <c r="D30" s="5">
        <f>12+0+0</f>
        <v>12</v>
      </c>
      <c r="E30" s="5">
        <f>20+3</f>
        <v>23</v>
      </c>
      <c r="F30" s="6">
        <f>Table2[[#This Row],[aktywnosc]]+Table2[[#This Row],[kol1(max 50pkt)]]+Table2[[#This Row],[kol2 (max 50 pkt)]]</f>
        <v>35</v>
      </c>
      <c r="G30" s="7">
        <f>Table2[[#This Row],[suma]]/100</f>
        <v>0.35</v>
      </c>
      <c r="H30" s="9">
        <v>2</v>
      </c>
      <c r="I30" s="4"/>
    </row>
    <row r="31" spans="1:9">
      <c r="A31" s="4">
        <f t="shared" si="0"/>
        <v>30</v>
      </c>
      <c r="B31" s="4">
        <v>257661</v>
      </c>
      <c r="C31" s="5">
        <f>2+1</f>
        <v>3</v>
      </c>
      <c r="D31" s="5">
        <f>30+1+6</f>
        <v>37</v>
      </c>
      <c r="E31" s="5">
        <f>15+5</f>
        <v>20</v>
      </c>
      <c r="F31" s="6">
        <f>Table2[[#This Row],[aktywnosc]]+Table2[[#This Row],[kol1(max 50pkt)]]+Table2[[#This Row],[kol2 (max 50 pkt)]]</f>
        <v>60</v>
      </c>
      <c r="G31" s="7">
        <f>Table2[[#This Row],[suma]]/100</f>
        <v>0.6</v>
      </c>
      <c r="H31" s="8">
        <v>3.5</v>
      </c>
      <c r="I31" s="4"/>
    </row>
    <row r="32" spans="1:9">
      <c r="A32" s="4">
        <f t="shared" si="0"/>
        <v>31</v>
      </c>
      <c r="B32" s="4">
        <v>257662</v>
      </c>
      <c r="C32" s="5"/>
      <c r="D32" s="5">
        <f>30+1+10</f>
        <v>41</v>
      </c>
      <c r="E32" s="5">
        <f>25+3</f>
        <v>28</v>
      </c>
      <c r="F32" s="6">
        <f>Table2[[#This Row],[aktywnosc]]+Table2[[#This Row],[kol1(max 50pkt)]]+Table2[[#This Row],[kol2 (max 50 pkt)]]</f>
        <v>69</v>
      </c>
      <c r="G32" s="7">
        <f>Table2[[#This Row],[suma]]/100</f>
        <v>0.69</v>
      </c>
      <c r="H32" s="8">
        <v>4</v>
      </c>
      <c r="I32" s="4"/>
    </row>
    <row r="33" spans="1:9">
      <c r="A33" s="4">
        <f t="shared" si="0"/>
        <v>32</v>
      </c>
      <c r="B33" s="4">
        <v>257663</v>
      </c>
      <c r="C33" s="5">
        <v>10</v>
      </c>
      <c r="D33" s="5">
        <f>30+10+6</f>
        <v>46</v>
      </c>
      <c r="E33" s="5">
        <f>25+5</f>
        <v>30</v>
      </c>
      <c r="F33" s="6">
        <f>Table2[[#This Row],[aktywnosc]]+Table2[[#This Row],[kol1(max 50pkt)]]+Table2[[#This Row],[kol2 (max 50 pkt)]]</f>
        <v>86</v>
      </c>
      <c r="G33" s="7">
        <f>Table2[[#This Row],[suma]]/100</f>
        <v>0.86</v>
      </c>
      <c r="H33" s="8">
        <v>5</v>
      </c>
      <c r="I33" s="4"/>
    </row>
    <row r="34" spans="1:9">
      <c r="A34" s="4">
        <f t="shared" si="0"/>
        <v>33</v>
      </c>
      <c r="B34" s="4">
        <v>257665</v>
      </c>
      <c r="C34" s="5"/>
      <c r="D34" s="5">
        <f>15+1+6</f>
        <v>22</v>
      </c>
      <c r="E34" s="5">
        <f>20+5</f>
        <v>25</v>
      </c>
      <c r="F34" s="6">
        <f>Table2[[#This Row],[aktywnosc]]+Table2[[#This Row],[kol1(max 50pkt)]]+Table2[[#This Row],[kol2 (max 50 pkt)]]</f>
        <v>47</v>
      </c>
      <c r="G34" s="7">
        <f>Table2[[#This Row],[suma]]/100</f>
        <v>0.47</v>
      </c>
      <c r="H34" s="9">
        <v>2</v>
      </c>
      <c r="I34" s="4" t="s">
        <v>5</v>
      </c>
    </row>
    <row r="35" spans="1:9">
      <c r="A35" s="4">
        <f t="shared" si="0"/>
        <v>34</v>
      </c>
      <c r="B35" s="4">
        <v>257668</v>
      </c>
      <c r="C35" s="5"/>
      <c r="D35" s="5">
        <f>30+0+6</f>
        <v>36</v>
      </c>
      <c r="E35" s="5">
        <f>25+5</f>
        <v>30</v>
      </c>
      <c r="F35" s="6">
        <f>Table2[[#This Row],[aktywnosc]]+Table2[[#This Row],[kol1(max 50pkt)]]+Table2[[#This Row],[kol2 (max 50 pkt)]]</f>
        <v>66</v>
      </c>
      <c r="G35" s="7">
        <f>Table2[[#This Row],[suma]]/100</f>
        <v>0.66</v>
      </c>
      <c r="H35" s="8">
        <v>4</v>
      </c>
      <c r="I35" s="4"/>
    </row>
    <row r="36" spans="1:9">
      <c r="A36" s="4">
        <f t="shared" si="0"/>
        <v>35</v>
      </c>
      <c r="B36" s="4">
        <v>257676</v>
      </c>
      <c r="C36" s="5">
        <f>1+1</f>
        <v>2</v>
      </c>
      <c r="D36" s="5">
        <f>30+1+2</f>
        <v>33</v>
      </c>
      <c r="E36" s="5">
        <f>20+25</f>
        <v>45</v>
      </c>
      <c r="F36" s="6">
        <f>Table2[[#This Row],[aktywnosc]]+Table2[[#This Row],[kol1(max 50pkt)]]+Table2[[#This Row],[kol2 (max 50 pkt)]]</f>
        <v>80</v>
      </c>
      <c r="G36" s="7">
        <f>Table2[[#This Row],[suma]]/100</f>
        <v>0.8</v>
      </c>
      <c r="H36" s="8">
        <v>4.5</v>
      </c>
      <c r="I36" s="4"/>
    </row>
    <row r="37" spans="1:9">
      <c r="A37" s="4">
        <f t="shared" si="0"/>
        <v>36</v>
      </c>
      <c r="B37" s="4">
        <v>257681</v>
      </c>
      <c r="C37" s="5">
        <v>1</v>
      </c>
      <c r="D37" s="5">
        <f>30+1+6</f>
        <v>37</v>
      </c>
      <c r="E37" s="5">
        <f>20+5</f>
        <v>25</v>
      </c>
      <c r="F37" s="6">
        <f>Table2[[#This Row],[aktywnosc]]+Table2[[#This Row],[kol1(max 50pkt)]]+Table2[[#This Row],[kol2 (max 50 pkt)]]</f>
        <v>63</v>
      </c>
      <c r="G37" s="7">
        <f>Table2[[#This Row],[suma]]/100</f>
        <v>0.63</v>
      </c>
      <c r="H37" s="8">
        <v>3.5</v>
      </c>
      <c r="I37" s="4"/>
    </row>
    <row r="38" spans="1:9">
      <c r="A38" s="4">
        <f t="shared" si="0"/>
        <v>37</v>
      </c>
      <c r="B38" s="4">
        <v>257687</v>
      </c>
      <c r="C38" s="5"/>
      <c r="D38" s="5">
        <f>25+1+6</f>
        <v>32</v>
      </c>
      <c r="E38" s="5">
        <f>25+10</f>
        <v>35</v>
      </c>
      <c r="F38" s="6">
        <f>Table2[[#This Row],[aktywnosc]]+Table2[[#This Row],[kol1(max 50pkt)]]+Table2[[#This Row],[kol2 (max 50 pkt)]]</f>
        <v>67</v>
      </c>
      <c r="G38" s="7">
        <f>Table2[[#This Row],[suma]]/100</f>
        <v>0.67</v>
      </c>
      <c r="H38" s="8">
        <v>4</v>
      </c>
      <c r="I38" s="4"/>
    </row>
    <row r="39" spans="1:9">
      <c r="A39" s="4">
        <f t="shared" si="0"/>
        <v>38</v>
      </c>
      <c r="B39" s="4">
        <v>257688</v>
      </c>
      <c r="C39" s="5">
        <f>2+1+1+1</f>
        <v>5</v>
      </c>
      <c r="D39" s="5">
        <f>17+1+6</f>
        <v>24</v>
      </c>
      <c r="E39" s="5">
        <f>20+3</f>
        <v>23</v>
      </c>
      <c r="F39" s="6">
        <f>Table2[[#This Row],[aktywnosc]]+Table2[[#This Row],[kol1(max 50pkt)]]+Table2[[#This Row],[kol2 (max 50 pkt)]]</f>
        <v>52</v>
      </c>
      <c r="G39" s="7">
        <f>Table2[[#This Row],[suma]]/100</f>
        <v>0.52</v>
      </c>
      <c r="H39" s="8">
        <v>3</v>
      </c>
      <c r="I39" s="4"/>
    </row>
    <row r="40" spans="1:9">
      <c r="A40" s="4">
        <f t="shared" si="0"/>
        <v>39</v>
      </c>
      <c r="B40" s="4">
        <v>257691</v>
      </c>
      <c r="C40" s="5">
        <f>1</f>
        <v>1</v>
      </c>
      <c r="D40" s="5">
        <f>30+1+6</f>
        <v>37</v>
      </c>
      <c r="E40" s="5">
        <f>20+2</f>
        <v>22</v>
      </c>
      <c r="F40" s="6">
        <f>Table2[[#This Row],[aktywnosc]]+Table2[[#This Row],[kol1(max 50pkt)]]+Table2[[#This Row],[kol2 (max 50 pkt)]]</f>
        <v>60</v>
      </c>
      <c r="G40" s="7">
        <f>Table2[[#This Row],[suma]]/100</f>
        <v>0.6</v>
      </c>
      <c r="H40" s="8">
        <v>3.5</v>
      </c>
      <c r="I40" s="4"/>
    </row>
    <row r="41" spans="1:9">
      <c r="A41" s="4">
        <f t="shared" si="0"/>
        <v>40</v>
      </c>
      <c r="B41" s="4">
        <v>257692</v>
      </c>
      <c r="C41" s="5">
        <v>1</v>
      </c>
      <c r="D41" s="5">
        <f>30+1+6</f>
        <v>37</v>
      </c>
      <c r="E41" s="5">
        <f>20+0</f>
        <v>20</v>
      </c>
      <c r="F41" s="6">
        <f>Table2[[#This Row],[aktywnosc]]+Table2[[#This Row],[kol1(max 50pkt)]]+Table2[[#This Row],[kol2 (max 50 pkt)]]</f>
        <v>58</v>
      </c>
      <c r="G41" s="7">
        <f>Table2[[#This Row],[suma]]/100</f>
        <v>0.57999999999999996</v>
      </c>
      <c r="H41" s="8">
        <v>3.5</v>
      </c>
      <c r="I41" s="4"/>
    </row>
    <row r="42" spans="1:9">
      <c r="A42" s="4">
        <f t="shared" si="0"/>
        <v>41</v>
      </c>
      <c r="B42" s="4">
        <v>257695</v>
      </c>
      <c r="C42" s="5">
        <f>1+1</f>
        <v>2</v>
      </c>
      <c r="D42" s="5">
        <f>30+1+6</f>
        <v>37</v>
      </c>
      <c r="E42" s="5">
        <f>20+5</f>
        <v>25</v>
      </c>
      <c r="F42" s="6">
        <f>Table2[[#This Row],[aktywnosc]]+Table2[[#This Row],[kol1(max 50pkt)]]+Table2[[#This Row],[kol2 (max 50 pkt)]]</f>
        <v>64</v>
      </c>
      <c r="G42" s="7">
        <f>Table2[[#This Row],[suma]]/100</f>
        <v>0.64</v>
      </c>
      <c r="H42" s="8">
        <v>3.5</v>
      </c>
      <c r="I42" s="4"/>
    </row>
    <row r="43" spans="1:9">
      <c r="A43" s="4">
        <f t="shared" si="0"/>
        <v>42</v>
      </c>
      <c r="B43" s="4">
        <v>257697</v>
      </c>
      <c r="C43" s="5">
        <f>1+1</f>
        <v>2</v>
      </c>
      <c r="D43" s="5">
        <f>30+6+0</f>
        <v>36</v>
      </c>
      <c r="E43" s="5">
        <f>20+5</f>
        <v>25</v>
      </c>
      <c r="F43" s="6">
        <f>Table2[[#This Row],[aktywnosc]]+Table2[[#This Row],[kol1(max 50pkt)]]+Table2[[#This Row],[kol2 (max 50 pkt)]]</f>
        <v>63</v>
      </c>
      <c r="G43" s="7">
        <f>Table2[[#This Row],[suma]]/100</f>
        <v>0.63</v>
      </c>
      <c r="H43" s="8">
        <v>3.5</v>
      </c>
      <c r="I43" s="4"/>
    </row>
    <row r="44" spans="1:9">
      <c r="A44" s="4">
        <f t="shared" si="0"/>
        <v>43</v>
      </c>
      <c r="B44" s="4">
        <v>257706</v>
      </c>
      <c r="C44" s="5"/>
      <c r="D44" s="5">
        <f>30+1+2</f>
        <v>33</v>
      </c>
      <c r="E44" s="5">
        <f>25+3</f>
        <v>28</v>
      </c>
      <c r="F44" s="6">
        <f>Table2[[#This Row],[aktywnosc]]+Table2[[#This Row],[kol1(max 50pkt)]]+Table2[[#This Row],[kol2 (max 50 pkt)]]</f>
        <v>61</v>
      </c>
      <c r="G44" s="7">
        <f>Table2[[#This Row],[suma]]/100</f>
        <v>0.61</v>
      </c>
      <c r="H44" s="8">
        <v>3.5</v>
      </c>
      <c r="I44" s="4"/>
    </row>
    <row r="45" spans="1:9">
      <c r="A45" s="4">
        <f t="shared" si="0"/>
        <v>44</v>
      </c>
      <c r="B45" s="4">
        <v>257712</v>
      </c>
      <c r="C45" s="5">
        <f>1+1+2+4+2</f>
        <v>10</v>
      </c>
      <c r="D45" s="5">
        <f>30+1+6</f>
        <v>37</v>
      </c>
      <c r="E45" s="5">
        <f>25+3</f>
        <v>28</v>
      </c>
      <c r="F45" s="6">
        <f>Table2[[#This Row],[aktywnosc]]+Table2[[#This Row],[kol1(max 50pkt)]]+Table2[[#This Row],[kol2 (max 50 pkt)]]</f>
        <v>75</v>
      </c>
      <c r="G45" s="7">
        <f>Table2[[#This Row],[suma]]/100</f>
        <v>0.75</v>
      </c>
      <c r="H45" s="8">
        <v>4.5</v>
      </c>
      <c r="I45" s="4"/>
    </row>
    <row r="46" spans="1:9">
      <c r="A46" s="4">
        <f t="shared" si="0"/>
        <v>45</v>
      </c>
      <c r="B46" s="4">
        <v>257713</v>
      </c>
      <c r="C46" s="5"/>
      <c r="D46" s="5">
        <f>30+1+6</f>
        <v>37</v>
      </c>
      <c r="E46" s="5">
        <f>25+0</f>
        <v>25</v>
      </c>
      <c r="F46" s="6">
        <f>Table2[[#This Row],[aktywnosc]]+Table2[[#This Row],[kol1(max 50pkt)]]+Table2[[#This Row],[kol2 (max 50 pkt)]]</f>
        <v>62</v>
      </c>
      <c r="G46" s="7">
        <f>Table2[[#This Row],[suma]]/100</f>
        <v>0.62</v>
      </c>
      <c r="H46" s="8">
        <v>3.5</v>
      </c>
      <c r="I46" s="4"/>
    </row>
    <row r="47" spans="1:9">
      <c r="A47" s="4">
        <f t="shared" si="0"/>
        <v>46</v>
      </c>
      <c r="B47" s="4">
        <v>257718</v>
      </c>
      <c r="C47" s="5"/>
      <c r="D47" s="5">
        <f>25+0+6</f>
        <v>31</v>
      </c>
      <c r="E47" s="5">
        <f>25</f>
        <v>25</v>
      </c>
      <c r="F47" s="6">
        <f>Table2[[#This Row],[aktywnosc]]+Table2[[#This Row],[kol1(max 50pkt)]]+Table2[[#This Row],[kol2 (max 50 pkt)]]</f>
        <v>56</v>
      </c>
      <c r="G47" s="7">
        <f>Table2[[#This Row],[suma]]/100</f>
        <v>0.56000000000000005</v>
      </c>
      <c r="H47" s="6">
        <v>3.5</v>
      </c>
      <c r="I47" s="4"/>
    </row>
    <row r="48" spans="1:9">
      <c r="A48" s="4">
        <f t="shared" si="0"/>
        <v>47</v>
      </c>
      <c r="B48" s="4">
        <v>241727</v>
      </c>
      <c r="C48" s="5">
        <f>1</f>
        <v>1</v>
      </c>
      <c r="D48" s="5"/>
      <c r="E48" s="5"/>
      <c r="F48" s="6">
        <f>Table2[[#This Row],[aktywnosc]]+Table2[[#This Row],[kol1(max 50pkt)]]+Table2[[#This Row],[kol2 (max 50 pkt)]]</f>
        <v>1</v>
      </c>
      <c r="G48" s="7">
        <f>Table2[[#This Row],[suma]]/100</f>
        <v>0.01</v>
      </c>
      <c r="H48" s="9">
        <v>2</v>
      </c>
      <c r="I48" s="4"/>
    </row>
    <row r="49" spans="1:9">
      <c r="A49" s="4">
        <f t="shared" si="0"/>
        <v>48</v>
      </c>
      <c r="B49" s="4">
        <v>288183</v>
      </c>
      <c r="C49" s="5"/>
      <c r="D49" s="5">
        <f>20+0+6</f>
        <v>26</v>
      </c>
      <c r="E49" s="5">
        <f>20+3</f>
        <v>23</v>
      </c>
      <c r="F49" s="6">
        <f>Table2[[#This Row],[aktywnosc]]+Table2[[#This Row],[kol1(max 50pkt)]]+Table2[[#This Row],[kol2 (max 50 pkt)]]</f>
        <v>49</v>
      </c>
      <c r="G49" s="7">
        <f>Table2[[#This Row],[suma]]/100</f>
        <v>0.49</v>
      </c>
      <c r="H49" s="8">
        <v>3</v>
      </c>
      <c r="I49" s="4"/>
    </row>
    <row r="50" spans="1:9">
      <c r="A50" s="4">
        <f t="shared" si="0"/>
        <v>49</v>
      </c>
      <c r="B50" s="4">
        <v>257725</v>
      </c>
      <c r="C50" s="5"/>
      <c r="D50" s="5">
        <f>30+0+10</f>
        <v>40</v>
      </c>
      <c r="E50" s="5">
        <f>23+0</f>
        <v>23</v>
      </c>
      <c r="F50" s="6">
        <f>Table2[[#This Row],[aktywnosc]]+Table2[[#This Row],[kol1(max 50pkt)]]+Table2[[#This Row],[kol2 (max 50 pkt)]]</f>
        <v>63</v>
      </c>
      <c r="G50" s="7">
        <f>Table2[[#This Row],[suma]]/100</f>
        <v>0.63</v>
      </c>
      <c r="H50" s="8">
        <v>3.5</v>
      </c>
      <c r="I50" s="4"/>
    </row>
    <row r="51" spans="1:9">
      <c r="A51" s="4">
        <f t="shared" si="0"/>
        <v>50</v>
      </c>
      <c r="B51" s="4">
        <v>257726</v>
      </c>
      <c r="C51" s="5"/>
      <c r="D51" s="5">
        <f>23+0+6</f>
        <v>29</v>
      </c>
      <c r="E51" s="5">
        <f>25+3</f>
        <v>28</v>
      </c>
      <c r="F51" s="6">
        <f>Table2[[#This Row],[aktywnosc]]+Table2[[#This Row],[kol1(max 50pkt)]]+Table2[[#This Row],[kol2 (max 50 pkt)]]</f>
        <v>57</v>
      </c>
      <c r="G51" s="7">
        <f>Table2[[#This Row],[suma]]/100</f>
        <v>0.56999999999999995</v>
      </c>
      <c r="H51" s="8">
        <v>3.5</v>
      </c>
      <c r="I51" s="4"/>
    </row>
    <row r="52" spans="1:9">
      <c r="A52" s="4">
        <f t="shared" si="0"/>
        <v>51</v>
      </c>
      <c r="B52" s="4">
        <v>257728</v>
      </c>
      <c r="C52" s="5"/>
      <c r="D52" s="5">
        <f>30+1+6</f>
        <v>37</v>
      </c>
      <c r="E52" s="5">
        <f>5+0</f>
        <v>5</v>
      </c>
      <c r="F52" s="6">
        <f>Table2[[#This Row],[aktywnosc]]+Table2[[#This Row],[kol1(max 50pkt)]]+Table2[[#This Row],[kol2 (max 50 pkt)]]</f>
        <v>42</v>
      </c>
      <c r="G52" s="7">
        <f>Table2[[#This Row],[suma]]/100</f>
        <v>0.42</v>
      </c>
      <c r="H52" s="9">
        <v>2</v>
      </c>
      <c r="I52" s="4" t="s">
        <v>5</v>
      </c>
    </row>
    <row r="53" spans="1:9">
      <c r="A53" s="4">
        <f t="shared" si="0"/>
        <v>52</v>
      </c>
      <c r="B53" s="4">
        <v>257729</v>
      </c>
      <c r="C53" s="5"/>
      <c r="D53" s="5">
        <f>30+1+6</f>
        <v>37</v>
      </c>
      <c r="E53" s="5">
        <f>25+5</f>
        <v>30</v>
      </c>
      <c r="F53" s="6">
        <f>Table2[[#This Row],[aktywnosc]]+Table2[[#This Row],[kol1(max 50pkt)]]+Table2[[#This Row],[kol2 (max 50 pkt)]]</f>
        <v>67</v>
      </c>
      <c r="G53" s="7">
        <f>Table2[[#This Row],[suma]]/100</f>
        <v>0.67</v>
      </c>
      <c r="H53" s="8">
        <v>4</v>
      </c>
      <c r="I53" s="4"/>
    </row>
    <row r="54" spans="1:9">
      <c r="A54" s="4">
        <f t="shared" si="0"/>
        <v>53</v>
      </c>
      <c r="B54" s="4">
        <v>257738</v>
      </c>
      <c r="C54" s="5">
        <f>1+1</f>
        <v>2</v>
      </c>
      <c r="D54" s="5">
        <f>25+1+0</f>
        <v>26</v>
      </c>
      <c r="E54" s="5">
        <f>20+3</f>
        <v>23</v>
      </c>
      <c r="F54" s="6">
        <f>Table2[[#This Row],[aktywnosc]]+Table2[[#This Row],[kol1(max 50pkt)]]+Table2[[#This Row],[kol2 (max 50 pkt)]]</f>
        <v>51</v>
      </c>
      <c r="G54" s="7">
        <f>Table2[[#This Row],[suma]]/100</f>
        <v>0.51</v>
      </c>
      <c r="H54" s="8">
        <v>3</v>
      </c>
      <c r="I54" s="4"/>
    </row>
    <row r="55" spans="1:9">
      <c r="A55" s="4">
        <f t="shared" si="0"/>
        <v>54</v>
      </c>
      <c r="B55" s="4"/>
      <c r="C55" s="5">
        <f>2+5</f>
        <v>7</v>
      </c>
      <c r="D55" s="5">
        <f>30+1+0</f>
        <v>31</v>
      </c>
      <c r="E55" s="5">
        <f>25+0</f>
        <v>25</v>
      </c>
      <c r="F55" s="6">
        <f>Table2[[#This Row],[aktywnosc]]+Table2[[#This Row],[kol1(max 50pkt)]]+Table2[[#This Row],[kol2 (max 50 pkt)]]</f>
        <v>63</v>
      </c>
      <c r="G55" s="7">
        <f>Table2[[#This Row],[suma]]/100</f>
        <v>0.63</v>
      </c>
      <c r="H55" s="8">
        <v>3.5</v>
      </c>
      <c r="I55" s="4"/>
    </row>
    <row r="56" spans="1:9">
      <c r="A56" s="4">
        <f t="shared" si="0"/>
        <v>55</v>
      </c>
      <c r="B56" s="4">
        <v>257742</v>
      </c>
      <c r="C56" s="5"/>
      <c r="D56" s="5">
        <f>30+0+6</f>
        <v>36</v>
      </c>
      <c r="E56" s="5">
        <f>25+5</f>
        <v>30</v>
      </c>
      <c r="F56" s="6">
        <f>Table2[[#This Row],[aktywnosc]]+Table2[[#This Row],[kol1(max 50pkt)]]+Table2[[#This Row],[kol2 (max 50 pkt)]]</f>
        <v>66</v>
      </c>
      <c r="G56" s="7">
        <f>Table2[[#This Row],[suma]]/100</f>
        <v>0.66</v>
      </c>
      <c r="H56" s="8">
        <v>4</v>
      </c>
      <c r="I56" s="4"/>
    </row>
    <row r="57" spans="1:9">
      <c r="A57" s="4">
        <f t="shared" si="0"/>
        <v>56</v>
      </c>
      <c r="B57" s="4">
        <v>257744</v>
      </c>
      <c r="C57" s="5"/>
      <c r="D57" s="5">
        <f>30+1+2</f>
        <v>33</v>
      </c>
      <c r="E57" s="5">
        <f>20+0</f>
        <v>20</v>
      </c>
      <c r="F57" s="6">
        <f>Table2[[#This Row],[aktywnosc]]+Table2[[#This Row],[kol1(max 50pkt)]]+Table2[[#This Row],[kol2 (max 50 pkt)]]</f>
        <v>53</v>
      </c>
      <c r="G57" s="7">
        <f>Table2[[#This Row],[suma]]/100</f>
        <v>0.53</v>
      </c>
      <c r="H57" s="8">
        <v>3</v>
      </c>
      <c r="I57" s="4"/>
    </row>
    <row r="58" spans="1:9">
      <c r="A58" s="4">
        <f t="shared" si="0"/>
        <v>57</v>
      </c>
      <c r="B58" s="4">
        <v>257745</v>
      </c>
      <c r="C58" s="5"/>
      <c r="D58" s="5">
        <f>30+1+0</f>
        <v>31</v>
      </c>
      <c r="E58" s="5">
        <f>20+3</f>
        <v>23</v>
      </c>
      <c r="F58" s="6">
        <f>Table2[[#This Row],[aktywnosc]]+Table2[[#This Row],[kol1(max 50pkt)]]+Table2[[#This Row],[kol2 (max 50 pkt)]]</f>
        <v>54</v>
      </c>
      <c r="G58" s="7">
        <f>Table2[[#This Row],[suma]]/100</f>
        <v>0.54</v>
      </c>
      <c r="H58" s="8">
        <v>3</v>
      </c>
      <c r="I58" s="4"/>
    </row>
    <row r="59" spans="1:9">
      <c r="A59" s="4">
        <f t="shared" si="0"/>
        <v>58</v>
      </c>
      <c r="B59" s="4">
        <v>257746</v>
      </c>
      <c r="C59" s="5">
        <f>2+4</f>
        <v>6</v>
      </c>
      <c r="D59" s="5">
        <f>30+1+6</f>
        <v>37</v>
      </c>
      <c r="E59" s="5">
        <f>20+3</f>
        <v>23</v>
      </c>
      <c r="F59" s="6">
        <f>Table2[[#This Row],[aktywnosc]]+Table2[[#This Row],[kol1(max 50pkt)]]+Table2[[#This Row],[kol2 (max 50 pkt)]]</f>
        <v>66</v>
      </c>
      <c r="G59" s="7">
        <f>Table2[[#This Row],[suma]]/100</f>
        <v>0.66</v>
      </c>
      <c r="H59" s="8">
        <v>4</v>
      </c>
      <c r="I59" s="4"/>
    </row>
    <row r="60" spans="1:9">
      <c r="A60" s="4">
        <f t="shared" si="0"/>
        <v>59</v>
      </c>
      <c r="B60" s="4">
        <v>257748</v>
      </c>
      <c r="C60" s="5"/>
      <c r="D60" s="5">
        <f>30+1+2</f>
        <v>33</v>
      </c>
      <c r="E60" s="5">
        <f>15+10</f>
        <v>25</v>
      </c>
      <c r="F60" s="6">
        <f>Table2[[#This Row],[aktywnosc]]+Table2[[#This Row],[kol1(max 50pkt)]]+Table2[[#This Row],[kol2 (max 50 pkt)]]</f>
        <v>58</v>
      </c>
      <c r="G60" s="7">
        <f>Table2[[#This Row],[suma]]/100</f>
        <v>0.57999999999999996</v>
      </c>
      <c r="H60" s="8">
        <v>3.5</v>
      </c>
      <c r="I60" s="4"/>
    </row>
    <row r="61" spans="1:9">
      <c r="A61" s="4">
        <f t="shared" si="0"/>
        <v>60</v>
      </c>
      <c r="B61" s="4">
        <v>257749</v>
      </c>
      <c r="C61" s="5"/>
      <c r="D61" s="5">
        <f>30+1+0</f>
        <v>31</v>
      </c>
      <c r="E61" s="5">
        <f>20+5</f>
        <v>25</v>
      </c>
      <c r="F61" s="6">
        <f>Table2[[#This Row],[aktywnosc]]+Table2[[#This Row],[kol1(max 50pkt)]]+Table2[[#This Row],[kol2 (max 50 pkt)]]</f>
        <v>56</v>
      </c>
      <c r="G61" s="7">
        <f>Table2[[#This Row],[suma]]/100</f>
        <v>0.56000000000000005</v>
      </c>
      <c r="H61" s="8">
        <v>3.5</v>
      </c>
      <c r="I61" s="4"/>
    </row>
    <row r="62" spans="1:9">
      <c r="A62" s="4">
        <f t="shared" si="0"/>
        <v>61</v>
      </c>
      <c r="B62" s="4">
        <v>257750</v>
      </c>
      <c r="C62" s="5"/>
      <c r="D62" s="5">
        <f>30+8+6</f>
        <v>44</v>
      </c>
      <c r="E62" s="5">
        <f>20+5</f>
        <v>25</v>
      </c>
      <c r="F62" s="6">
        <f>Table2[[#This Row],[aktywnosc]]+Table2[[#This Row],[kol1(max 50pkt)]]+Table2[[#This Row],[kol2 (max 50 pkt)]]</f>
        <v>69</v>
      </c>
      <c r="G62" s="7">
        <f>Table2[[#This Row],[suma]]/100</f>
        <v>0.69</v>
      </c>
      <c r="H62" s="8">
        <v>4</v>
      </c>
      <c r="I62" s="4"/>
    </row>
    <row r="63" spans="1:9">
      <c r="A63" s="4">
        <f t="shared" si="0"/>
        <v>62</v>
      </c>
      <c r="B63" s="4">
        <v>257755</v>
      </c>
      <c r="C63" s="5"/>
      <c r="D63" s="5">
        <f>30+1+2</f>
        <v>33</v>
      </c>
      <c r="E63" s="5">
        <f>20+0</f>
        <v>20</v>
      </c>
      <c r="F63" s="6">
        <f>Table2[[#This Row],[aktywnosc]]+Table2[[#This Row],[kol1(max 50pkt)]]+Table2[[#This Row],[kol2 (max 50 pkt)]]</f>
        <v>53</v>
      </c>
      <c r="G63" s="7">
        <f>Table2[[#This Row],[suma]]/100</f>
        <v>0.53</v>
      </c>
      <c r="H63" s="8">
        <v>3</v>
      </c>
      <c r="I63" s="4"/>
    </row>
    <row r="64" spans="1:9">
      <c r="A64" s="4">
        <f t="shared" si="0"/>
        <v>63</v>
      </c>
      <c r="B64" s="4">
        <v>248602</v>
      </c>
      <c r="C64" s="5"/>
      <c r="D64" s="5">
        <f>29+0+6</f>
        <v>35</v>
      </c>
      <c r="E64" s="5">
        <f>25+3</f>
        <v>28</v>
      </c>
      <c r="F64" s="6">
        <f>Table2[[#This Row],[aktywnosc]]+Table2[[#This Row],[kol1(max 50pkt)]]+Table2[[#This Row],[kol2 (max 50 pkt)]]</f>
        <v>63</v>
      </c>
      <c r="G64" s="7">
        <f>Table2[[#This Row],[suma]]/100</f>
        <v>0.63</v>
      </c>
      <c r="H64" s="8">
        <v>3.5</v>
      </c>
      <c r="I64" s="4"/>
    </row>
    <row r="65" spans="1:9">
      <c r="A65" s="4">
        <f t="shared" si="0"/>
        <v>64</v>
      </c>
      <c r="B65" s="4">
        <v>257757</v>
      </c>
      <c r="C65" s="5"/>
      <c r="D65" s="5">
        <f>30+0+6</f>
        <v>36</v>
      </c>
      <c r="E65" s="5">
        <f>20+0</f>
        <v>20</v>
      </c>
      <c r="F65" s="6">
        <f>Table2[[#This Row],[aktywnosc]]+Table2[[#This Row],[kol1(max 50pkt)]]+Table2[[#This Row],[kol2 (max 50 pkt)]]</f>
        <v>56</v>
      </c>
      <c r="G65" s="7">
        <f>Table2[[#This Row],[suma]]/100</f>
        <v>0.56000000000000005</v>
      </c>
      <c r="H65" s="8">
        <v>3.5</v>
      </c>
      <c r="I65" s="4"/>
    </row>
    <row r="66" spans="1:9">
      <c r="A66" s="4">
        <f t="shared" si="0"/>
        <v>65</v>
      </c>
      <c r="B66" s="4">
        <v>288186</v>
      </c>
      <c r="C66" s="5"/>
      <c r="D66" s="5">
        <f>28+0+6</f>
        <v>34</v>
      </c>
      <c r="E66" s="5">
        <f>20+5</f>
        <v>25</v>
      </c>
      <c r="F66" s="6">
        <f>Table2[[#This Row],[aktywnosc]]+Table2[[#This Row],[kol1(max 50pkt)]]+Table2[[#This Row],[kol2 (max 50 pkt)]]</f>
        <v>59</v>
      </c>
      <c r="G66" s="7">
        <f>Table2[[#This Row],[suma]]/100</f>
        <v>0.59</v>
      </c>
      <c r="H66" s="8">
        <v>3.5</v>
      </c>
      <c r="I66" s="4"/>
    </row>
    <row r="67" spans="1:9">
      <c r="A67" s="4">
        <f t="shared" si="0"/>
        <v>66</v>
      </c>
      <c r="B67" s="4">
        <v>257760</v>
      </c>
      <c r="C67" s="5"/>
      <c r="D67" s="5">
        <f>25+0+6</f>
        <v>31</v>
      </c>
      <c r="E67" s="5">
        <f>15+2</f>
        <v>17</v>
      </c>
      <c r="F67" s="6">
        <f>Table2[[#This Row],[aktywnosc]]+Table2[[#This Row],[kol1(max 50pkt)]]+Table2[[#This Row],[kol2 (max 50 pkt)]]</f>
        <v>48</v>
      </c>
      <c r="G67" s="7">
        <f>Table2[[#This Row],[suma]]/100</f>
        <v>0.48</v>
      </c>
      <c r="H67" s="8">
        <v>3</v>
      </c>
      <c r="I67" s="4"/>
    </row>
    <row r="68" spans="1:9">
      <c r="A68" s="4">
        <f t="shared" si="0"/>
        <v>67</v>
      </c>
      <c r="B68" s="4">
        <v>257764</v>
      </c>
      <c r="C68" s="5"/>
      <c r="D68" s="5">
        <f>28+0+0</f>
        <v>28</v>
      </c>
      <c r="E68" s="5">
        <f>25+5</f>
        <v>30</v>
      </c>
      <c r="F68" s="6">
        <f>Table2[[#This Row],[aktywnosc]]+Table2[[#This Row],[kol1(max 50pkt)]]+Table2[[#This Row],[kol2 (max 50 pkt)]]</f>
        <v>58</v>
      </c>
      <c r="G68" s="7">
        <f>Table2[[#This Row],[suma]]/100</f>
        <v>0.57999999999999996</v>
      </c>
      <c r="H68" s="8">
        <v>3.5</v>
      </c>
      <c r="I68" s="4"/>
    </row>
    <row r="69" spans="1:9">
      <c r="A69" s="4">
        <f t="shared" ref="A69:A70" si="1">1+A68</f>
        <v>68</v>
      </c>
      <c r="B69" s="4">
        <v>257766</v>
      </c>
      <c r="C69" s="5"/>
      <c r="D69" s="5">
        <f>30+1+6</f>
        <v>37</v>
      </c>
      <c r="E69" s="5">
        <f>25+0</f>
        <v>25</v>
      </c>
      <c r="F69" s="6">
        <f>Table2[[#This Row],[aktywnosc]]+Table2[[#This Row],[kol1(max 50pkt)]]+Table2[[#This Row],[kol2 (max 50 pkt)]]</f>
        <v>62</v>
      </c>
      <c r="G69" s="7">
        <f>Table2[[#This Row],[suma]]/100</f>
        <v>0.62</v>
      </c>
      <c r="H69" s="8">
        <v>3.5</v>
      </c>
      <c r="I69" s="4"/>
    </row>
    <row r="70" spans="1:9">
      <c r="A70" s="4">
        <f t="shared" si="1"/>
        <v>69</v>
      </c>
      <c r="B70" s="10">
        <v>248535</v>
      </c>
      <c r="C70" s="5"/>
      <c r="D70" s="5">
        <f>30+0+6</f>
        <v>36</v>
      </c>
      <c r="E70" s="5">
        <f>25+0</f>
        <v>25</v>
      </c>
      <c r="F70" s="6">
        <f>Table2[[#This Row],[aktywnosc]]+Table2[[#This Row],[kol1(max 50pkt)]]+Table2[[#This Row],[kol2 (max 50 pkt)]]</f>
        <v>61</v>
      </c>
      <c r="G70" s="7">
        <f>Table2[[#This Row],[suma]]/100</f>
        <v>0.61</v>
      </c>
      <c r="H70" s="8">
        <v>3.5</v>
      </c>
      <c r="I70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Ewa Marciniak</cp:lastModifiedBy>
  <dcterms:created xsi:type="dcterms:W3CDTF">2015-10-14T09:25:53Z</dcterms:created>
  <dcterms:modified xsi:type="dcterms:W3CDTF">2016-01-15T13:08:13Z</dcterms:modified>
</cp:coreProperties>
</file>